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.daviero\Downloads\"/>
    </mc:Choice>
  </mc:AlternateContent>
  <xr:revisionPtr revIDLastSave="0" documentId="8_{26FB409D-D811-4400-9F91-875844CADC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IEPILOGO GENERALE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I64" i="1"/>
  <c r="H64" i="1"/>
  <c r="J63" i="1"/>
  <c r="I63" i="1"/>
  <c r="H63" i="1"/>
  <c r="J62" i="1"/>
  <c r="I62" i="1"/>
  <c r="H62" i="1"/>
  <c r="J61" i="1"/>
  <c r="I61" i="1"/>
  <c r="H61" i="1"/>
  <c r="J60" i="1"/>
  <c r="J65" i="1" s="1"/>
  <c r="I60" i="1"/>
  <c r="H60" i="1"/>
  <c r="N55" i="1"/>
  <c r="O55" i="1" s="1"/>
  <c r="M55" i="1"/>
  <c r="L55" i="1"/>
  <c r="K55" i="1"/>
  <c r="J55" i="1"/>
  <c r="I55" i="1"/>
  <c r="H55" i="1"/>
  <c r="N54" i="1"/>
  <c r="M54" i="1"/>
  <c r="K54" i="1"/>
  <c r="I54" i="1"/>
  <c r="H54" i="1"/>
  <c r="N53" i="1"/>
  <c r="M53" i="1"/>
  <c r="L53" i="1"/>
  <c r="K53" i="1"/>
  <c r="J53" i="1"/>
  <c r="I53" i="1"/>
  <c r="H53" i="1"/>
  <c r="M52" i="1"/>
  <c r="J52" i="1"/>
  <c r="H52" i="1"/>
  <c r="O52" i="1" s="1"/>
  <c r="N51" i="1"/>
  <c r="M51" i="1"/>
  <c r="L51" i="1"/>
  <c r="L56" i="1" s="1"/>
  <c r="K51" i="1"/>
  <c r="J51" i="1"/>
  <c r="I51" i="1"/>
  <c r="H51" i="1"/>
  <c r="H46" i="1"/>
  <c r="H44" i="1"/>
  <c r="H42" i="1"/>
  <c r="H38" i="1"/>
  <c r="J37" i="1"/>
  <c r="I37" i="1"/>
  <c r="H37" i="1"/>
  <c r="K37" i="1" s="1"/>
  <c r="K36" i="1"/>
  <c r="J35" i="1"/>
  <c r="I35" i="1"/>
  <c r="H35" i="1"/>
  <c r="J34" i="1"/>
  <c r="I34" i="1"/>
  <c r="H34" i="1"/>
  <c r="J33" i="1"/>
  <c r="I33" i="1"/>
  <c r="H33" i="1"/>
  <c r="P28" i="1"/>
  <c r="O28" i="1"/>
  <c r="N28" i="1"/>
  <c r="M28" i="1"/>
  <c r="L28" i="1"/>
  <c r="K28" i="1"/>
  <c r="J28" i="1"/>
  <c r="I28" i="1"/>
  <c r="H28" i="1"/>
  <c r="L27" i="1"/>
  <c r="K27" i="1"/>
  <c r="Q27" i="1" s="1"/>
  <c r="J27" i="1"/>
  <c r="I27" i="1"/>
  <c r="H27" i="1"/>
  <c r="P26" i="1"/>
  <c r="O26" i="1"/>
  <c r="N26" i="1"/>
  <c r="M26" i="1"/>
  <c r="L26" i="1"/>
  <c r="K26" i="1"/>
  <c r="J26" i="1"/>
  <c r="I26" i="1"/>
  <c r="H26" i="1"/>
  <c r="N25" i="1"/>
  <c r="L25" i="1"/>
  <c r="K25" i="1"/>
  <c r="J25" i="1"/>
  <c r="I25" i="1"/>
  <c r="H25" i="1"/>
  <c r="P24" i="1"/>
  <c r="O24" i="1"/>
  <c r="N24" i="1"/>
  <c r="M24" i="1"/>
  <c r="L24" i="1"/>
  <c r="K24" i="1"/>
  <c r="J24" i="1"/>
  <c r="I24" i="1"/>
  <c r="H24" i="1"/>
  <c r="H19" i="1"/>
  <c r="H17" i="1"/>
  <c r="H16" i="1"/>
  <c r="H15" i="1"/>
  <c r="H10" i="1"/>
  <c r="H9" i="1"/>
  <c r="H8" i="1"/>
  <c r="H7" i="1"/>
  <c r="H6" i="1"/>
  <c r="M29" i="1" l="1"/>
  <c r="K64" i="1"/>
  <c r="H47" i="1"/>
  <c r="M56" i="1"/>
  <c r="N56" i="1"/>
  <c r="K60" i="1"/>
  <c r="L29" i="1"/>
  <c r="K35" i="1"/>
  <c r="I65" i="1"/>
  <c r="H11" i="1"/>
  <c r="K63" i="1"/>
  <c r="P29" i="1"/>
  <c r="J38" i="1"/>
  <c r="I56" i="1"/>
  <c r="K56" i="1"/>
  <c r="N29" i="1"/>
  <c r="O29" i="1"/>
  <c r="K33" i="1"/>
  <c r="J56" i="1"/>
  <c r="H29" i="1"/>
  <c r="Q26" i="1"/>
  <c r="I29" i="1"/>
  <c r="Q25" i="1"/>
  <c r="K34" i="1"/>
  <c r="K38" i="1" s="1"/>
  <c r="O53" i="1"/>
  <c r="K61" i="1"/>
  <c r="Q28" i="1"/>
  <c r="O51" i="1"/>
  <c r="J29" i="1"/>
  <c r="K62" i="1"/>
  <c r="K29" i="1"/>
  <c r="H20" i="1"/>
  <c r="I38" i="1"/>
  <c r="H56" i="1"/>
  <c r="Q24" i="1"/>
  <c r="O54" i="1"/>
  <c r="H65" i="1"/>
  <c r="K65" i="1" l="1"/>
  <c r="O56" i="1"/>
  <c r="Q29" i="1"/>
</calcChain>
</file>

<file path=xl/sharedStrings.xml><?xml version="1.0" encoding="utf-8"?>
<sst xmlns="http://schemas.openxmlformats.org/spreadsheetml/2006/main" count="79" uniqueCount="34">
  <si>
    <t>RIEPILOGO GENERALE</t>
  </si>
  <si>
    <t>ACCONTO 2020</t>
  </si>
  <si>
    <t>TOTALE ARAP</t>
  </si>
  <si>
    <t>Manutenzione (strade, verde, segnaletica, illuminazione, ecc.)</t>
  </si>
  <si>
    <t>Energia elettrica pubblica illuminazione</t>
  </si>
  <si>
    <t>Assicurazioni</t>
  </si>
  <si>
    <t>Canoni concessione e altri costi</t>
  </si>
  <si>
    <t>TOTALE</t>
  </si>
  <si>
    <t>AVEZZANO</t>
  </si>
  <si>
    <t>CASOLI EST</t>
  </si>
  <si>
    <t>CASOLI OVEST</t>
  </si>
  <si>
    <t>CASOLI ZONA SERVIZI</t>
  </si>
  <si>
    <t>ATESSA-PAGLIETA</t>
  </si>
  <si>
    <t>LANCIANO-MOZZAGR.</t>
  </si>
  <si>
    <t>LANCIANO CENTRO</t>
  </si>
  <si>
    <t>FARA SAN MARTINO</t>
  </si>
  <si>
    <t>CASTEL FRENTANO</t>
  </si>
  <si>
    <t>GUARDIAGRELE</t>
  </si>
  <si>
    <t>BAZZANO-PAGANICA</t>
  </si>
  <si>
    <t>PILE</t>
  </si>
  <si>
    <t>SASSA</t>
  </si>
  <si>
    <t>SULMONA</t>
  </si>
  <si>
    <t>SANT'ATTO</t>
  </si>
  <si>
    <t>CANZANO</t>
  </si>
  <si>
    <t>VILLA ZACCHEO</t>
  </si>
  <si>
    <t>CASTELNUOVO VOMANO</t>
  </si>
  <si>
    <t>ATRI</t>
  </si>
  <si>
    <t>SANT'EGIDIO ALLA VIBRATA</t>
  </si>
  <si>
    <t>CASE MOLINO - MONTECCHIA</t>
  </si>
  <si>
    <t>SAN SALVO</t>
  </si>
  <si>
    <t>VASTO PUNTA PENNA</t>
  </si>
  <si>
    <t>VALSINELLO</t>
  </si>
  <si>
    <t xml:space="preserve">Spese generali </t>
  </si>
  <si>
    <t>Spese generali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</si>
</sst>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FFFFFF"/>
      <name val="Khmer UI"/>
      <family val="2"/>
    </font>
    <font>
      <b/>
      <sz val="10"/>
      <color rgb="FF002060"/>
      <name val="Khmer UI"/>
      <family val="2"/>
    </font>
    <font>
      <sz val="10"/>
      <color rgb="FF002060"/>
      <name val="Khmer UI"/>
      <family val="2"/>
    </font>
    <font>
      <i/>
      <sz val="8"/>
      <color rgb="FF002060"/>
      <name val="Khmer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2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3" borderId="10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3" fontId="3" fillId="3" borderId="7" xfId="0" applyNumberFormat="1" applyFont="1" applyFill="1" applyBorder="1" applyAlignment="1">
      <alignment horizontal="left" vertical="center"/>
    </xf>
    <xf numFmtId="3" fontId="3" fillId="3" borderId="11" xfId="0" applyNumberFormat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left" vertical="center"/>
    </xf>
    <xf numFmtId="3" fontId="3" fillId="3" borderId="13" xfId="0" applyNumberFormat="1" applyFont="1" applyFill="1" applyBorder="1" applyAlignment="1">
      <alignment horizontal="left" vertical="center"/>
    </xf>
    <xf numFmtId="3" fontId="1" fillId="2" borderId="11" xfId="0" applyNumberFormat="1" applyFont="1" applyFill="1" applyBorder="1" applyAlignment="1">
      <alignment horizontal="left" vertical="center"/>
    </xf>
    <xf numFmtId="3" fontId="1" fillId="2" borderId="12" xfId="0" applyNumberFormat="1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dellacroce/Documents/ARAP%20-%20Copia%20SMART%20W.%20-%20Novembre%202020/Gestione%20Nuclei/2020/Acconto%202020%20-%20Bozze/Bozza%20Riparto%20Spese%202020%20-%20Acco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 GENERALE 2020"/>
      <sheetName val="MANUT. UT 1 (2020)"/>
      <sheetName val="MANUT. UT 2 (2020)"/>
      <sheetName val="MANUT. UT 3 (2020)"/>
      <sheetName val="MANUT. UT 4 (2020)"/>
      <sheetName val="MANUT. UT 5 (2020)"/>
      <sheetName val="MANUT. UT 6 (2020)"/>
      <sheetName val="RIEPILOGO GENERALE"/>
      <sheetName val="MANUT. UT 1"/>
      <sheetName val="MANUT. UT 2"/>
      <sheetName val="MANUT. UT 3"/>
      <sheetName val="MANUT. UT 4"/>
      <sheetName val="MANUT. UT 5"/>
      <sheetName val="MANUT. U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H6">
            <v>790606.27338564128</v>
          </cell>
        </row>
        <row r="7">
          <cell r="H7">
            <v>370071.69208333339</v>
          </cell>
        </row>
        <row r="8">
          <cell r="H8">
            <v>58893.94</v>
          </cell>
        </row>
        <row r="9">
          <cell r="H9">
            <v>27849.535228571429</v>
          </cell>
        </row>
        <row r="10">
          <cell r="H10">
            <v>187113.21610463189</v>
          </cell>
        </row>
        <row r="11">
          <cell r="H11">
            <v>1434534.6568021779</v>
          </cell>
          <cell r="I11">
            <v>1735000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P65"/>
  <sheetViews>
    <sheetView tabSelected="1" topLeftCell="A40" zoomScaleNormal="100" workbookViewId="0">
      <selection activeCell="B65" sqref="B65:G65"/>
    </sheetView>
  </sheetViews>
  <sheetFormatPr defaultColWidth="14.7109375" defaultRowHeight="20.100000000000001" customHeight="1" x14ac:dyDescent="0.25"/>
  <cols>
    <col min="1" max="7" width="8.7109375" customWidth="1"/>
    <col min="9" max="9" width="14.7109375" style="3"/>
    <col min="11" max="11" width="14.7109375" style="3"/>
    <col min="22" max="22" width="14.7109375" style="3"/>
    <col min="27" max="27" width="14.7109375" style="3"/>
    <col min="29" max="29" width="14.7109375" style="3"/>
    <col min="38" max="38" width="14.7109375" style="3"/>
  </cols>
  <sheetData>
    <row r="2" spans="2:42" ht="30" customHeight="1" x14ac:dyDescent="0.25">
      <c r="B2" s="27" t="s">
        <v>0</v>
      </c>
      <c r="C2" s="27"/>
      <c r="D2" s="27"/>
      <c r="E2" s="27"/>
      <c r="F2" s="27"/>
      <c r="G2" s="27"/>
      <c r="H2" s="1"/>
      <c r="I2" s="2"/>
      <c r="K2" s="2"/>
      <c r="V2" s="2"/>
      <c r="AA2" s="2"/>
    </row>
    <row r="4" spans="2:42" s="3" customFormat="1" ht="20.100000000000001" customHeight="1" x14ac:dyDescent="0.25">
      <c r="B4" s="4"/>
      <c r="C4" s="4"/>
      <c r="D4" s="4"/>
      <c r="E4" s="4"/>
      <c r="F4" s="4"/>
      <c r="G4" s="4"/>
      <c r="H4" s="5"/>
      <c r="I4" s="4"/>
      <c r="J4" s="5"/>
      <c r="K4" s="4"/>
      <c r="L4" s="5"/>
      <c r="M4" s="5"/>
      <c r="N4" s="5"/>
      <c r="O4" s="4"/>
      <c r="P4" s="5"/>
      <c r="Q4" s="5"/>
      <c r="R4" s="4"/>
      <c r="S4" s="4"/>
      <c r="T4" s="5"/>
      <c r="U4" s="5"/>
      <c r="V4" s="4"/>
      <c r="W4" s="5"/>
      <c r="X4" s="5"/>
      <c r="Y4" s="5"/>
      <c r="Z4" s="5"/>
      <c r="AA4" s="4"/>
      <c r="AB4" s="5"/>
      <c r="AC4" s="4"/>
      <c r="AD4" s="4"/>
      <c r="AE4" s="4"/>
      <c r="AF4" s="4"/>
      <c r="AG4" s="5"/>
      <c r="AH4" s="4"/>
      <c r="AI4" s="4"/>
      <c r="AJ4" s="5"/>
      <c r="AK4" s="5"/>
      <c r="AL4" s="4"/>
      <c r="AM4" s="4"/>
      <c r="AN4" s="4"/>
      <c r="AO4" s="5"/>
      <c r="AP4" s="5"/>
    </row>
    <row r="5" spans="2:42" ht="30" customHeight="1" x14ac:dyDescent="0.25">
      <c r="B5" s="28" t="s">
        <v>1</v>
      </c>
      <c r="C5" s="29"/>
      <c r="D5" s="29"/>
      <c r="E5" s="29"/>
      <c r="F5" s="29"/>
      <c r="G5" s="30"/>
      <c r="H5" s="6" t="s">
        <v>2</v>
      </c>
      <c r="I5" s="2"/>
      <c r="K5" s="2"/>
      <c r="V5" s="2"/>
      <c r="AA5" s="2"/>
    </row>
    <row r="6" spans="2:42" ht="20.100000000000001" customHeight="1" x14ac:dyDescent="0.25">
      <c r="B6" s="31" t="s">
        <v>3</v>
      </c>
      <c r="C6" s="32"/>
      <c r="D6" s="32"/>
      <c r="E6" s="32"/>
      <c r="F6" s="32"/>
      <c r="G6" s="33"/>
      <c r="H6" s="7">
        <f>'[1]RIEPILOGO GENERALE'!H6*'[1]RIEPILOGO GENERALE'!I$11/'[1]RIEPILOGO GENERALE'!H$11</f>
        <v>956199.89229249069</v>
      </c>
      <c r="I6" s="4"/>
      <c r="K6" s="4"/>
      <c r="V6" s="4"/>
      <c r="AA6" s="4"/>
    </row>
    <row r="7" spans="2:42" ht="20.100000000000001" customHeight="1" x14ac:dyDescent="0.25">
      <c r="B7" s="24" t="s">
        <v>4</v>
      </c>
      <c r="C7" s="25"/>
      <c r="D7" s="25"/>
      <c r="E7" s="25"/>
      <c r="F7" s="25"/>
      <c r="G7" s="26"/>
      <c r="H7" s="7">
        <f>'[1]RIEPILOGO GENERALE'!H7*'[1]RIEPILOGO GENERALE'!I$11/'[1]RIEPILOGO GENERALE'!H$11</f>
        <v>447583.73924257536</v>
      </c>
      <c r="I7" s="4"/>
      <c r="K7" s="4"/>
      <c r="V7" s="4"/>
      <c r="AA7" s="4"/>
    </row>
    <row r="8" spans="2:42" ht="20.100000000000001" customHeight="1" x14ac:dyDescent="0.25">
      <c r="B8" s="24" t="s">
        <v>5</v>
      </c>
      <c r="C8" s="25"/>
      <c r="D8" s="25"/>
      <c r="E8" s="25"/>
      <c r="F8" s="25"/>
      <c r="G8" s="26"/>
      <c r="H8" s="7">
        <f>'[1]RIEPILOGO GENERALE'!H8*'[1]RIEPILOGO GENERALE'!I$11/'[1]RIEPILOGO GENERALE'!H$11</f>
        <v>71229.360277554268</v>
      </c>
      <c r="I8" s="4"/>
      <c r="K8" s="4"/>
      <c r="V8" s="4"/>
      <c r="AA8" s="4"/>
    </row>
    <row r="9" spans="2:42" ht="20.100000000000001" customHeight="1" x14ac:dyDescent="0.25">
      <c r="B9" s="24" t="s">
        <v>6</v>
      </c>
      <c r="C9" s="25"/>
      <c r="D9" s="25"/>
      <c r="E9" s="25"/>
      <c r="F9" s="25"/>
      <c r="G9" s="26"/>
      <c r="H9" s="7">
        <f>'[1]RIEPILOGO GENERALE'!H9*'[1]RIEPILOGO GENERALE'!I$11/'[1]RIEPILOGO GENERALE'!H$11</f>
        <v>33682.660361292757</v>
      </c>
      <c r="I9" s="4"/>
      <c r="K9" s="4"/>
      <c r="V9" s="4"/>
      <c r="AA9" s="4"/>
    </row>
    <row r="10" spans="2:42" ht="20.100000000000001" customHeight="1" x14ac:dyDescent="0.25">
      <c r="B10" s="34" t="s">
        <v>32</v>
      </c>
      <c r="C10" s="35"/>
      <c r="D10" s="35"/>
      <c r="E10" s="35"/>
      <c r="F10" s="35"/>
      <c r="G10" s="36"/>
      <c r="H10" s="7">
        <f>'[1]RIEPILOGO GENERALE'!H10*'[1]RIEPILOGO GENERALE'!I$11/'[1]RIEPILOGO GENERALE'!H$11</f>
        <v>226304.34782608695</v>
      </c>
      <c r="I10" s="4"/>
      <c r="K10" s="4"/>
      <c r="V10" s="4"/>
      <c r="AA10" s="4"/>
    </row>
    <row r="11" spans="2:42" ht="20.100000000000001" customHeight="1" x14ac:dyDescent="0.25">
      <c r="B11" s="37" t="s">
        <v>7</v>
      </c>
      <c r="C11" s="38"/>
      <c r="D11" s="38"/>
      <c r="E11" s="38"/>
      <c r="F11" s="38"/>
      <c r="G11" s="39"/>
      <c r="H11" s="8">
        <f>SUM(H6:H10)</f>
        <v>1735000</v>
      </c>
      <c r="I11" s="9"/>
      <c r="K11" s="9"/>
      <c r="V11" s="9"/>
      <c r="AA11" s="9"/>
    </row>
    <row r="12" spans="2:42" s="3" customFormat="1" ht="20.100000000000001" customHeight="1" x14ac:dyDescent="0.25">
      <c r="B12" s="4"/>
      <c r="C12" s="4"/>
      <c r="D12" s="4"/>
      <c r="E12" s="4"/>
      <c r="F12" s="4"/>
      <c r="G12" s="4"/>
      <c r="H12" s="10"/>
      <c r="I12" s="4"/>
      <c r="J12" s="10"/>
      <c r="K12" s="4"/>
      <c r="L12" s="4"/>
      <c r="M12" s="4"/>
      <c r="N12" s="4"/>
      <c r="O12" s="4"/>
      <c r="P12" s="10"/>
      <c r="Q12" s="4"/>
      <c r="R12" s="4"/>
      <c r="S12" s="4"/>
      <c r="T12" s="4"/>
      <c r="U12" s="10"/>
      <c r="V12" s="4"/>
      <c r="W12" s="10"/>
      <c r="X12" s="10"/>
      <c r="Y12" s="10"/>
      <c r="Z12" s="10"/>
      <c r="AA12" s="4"/>
    </row>
    <row r="14" spans="2:42" ht="30" customHeight="1" x14ac:dyDescent="0.25">
      <c r="B14" s="28" t="s">
        <v>1</v>
      </c>
      <c r="C14" s="29"/>
      <c r="D14" s="29"/>
      <c r="E14" s="29"/>
      <c r="F14" s="29"/>
      <c r="G14" s="30"/>
      <c r="H14" s="6" t="s">
        <v>8</v>
      </c>
    </row>
    <row r="15" spans="2:42" ht="20.100000000000001" customHeight="1" x14ac:dyDescent="0.25">
      <c r="B15" s="31" t="s">
        <v>3</v>
      </c>
      <c r="C15" s="32"/>
      <c r="D15" s="32"/>
      <c r="E15" s="32"/>
      <c r="F15" s="32"/>
      <c r="G15" s="33"/>
      <c r="H15" s="7">
        <f>91146.9114028595*'[1]RIEPILOGO GENERALE'!I$11/'[1]RIEPILOGO GENERALE'!H$11</f>
        <v>110237.76284114459</v>
      </c>
    </row>
    <row r="16" spans="2:42" ht="20.100000000000001" customHeight="1" x14ac:dyDescent="0.25">
      <c r="B16" s="24" t="s">
        <v>4</v>
      </c>
      <c r="C16" s="25"/>
      <c r="D16" s="25"/>
      <c r="E16" s="25"/>
      <c r="F16" s="25"/>
      <c r="G16" s="26"/>
      <c r="H16" s="7">
        <f>40429.2420833333*'[1]RIEPILOGO GENERALE'!I$11/'[1]RIEPILOGO GENERALE'!H$11</f>
        <v>48897.204875445706</v>
      </c>
    </row>
    <row r="17" spans="2:17" ht="20.100000000000001" customHeight="1" x14ac:dyDescent="0.25">
      <c r="B17" s="24" t="s">
        <v>5</v>
      </c>
      <c r="C17" s="25"/>
      <c r="D17" s="25"/>
      <c r="E17" s="25"/>
      <c r="F17" s="25"/>
      <c r="G17" s="26"/>
      <c r="H17" s="7">
        <f>5012.66845794393*'[1]RIEPILOGO GENERALE'!I$11/'[1]RIEPILOGO GENERALE'!H$11</f>
        <v>6062.579062341908</v>
      </c>
    </row>
    <row r="18" spans="2:17" ht="20.100000000000001" customHeight="1" x14ac:dyDescent="0.25">
      <c r="B18" s="24" t="s">
        <v>6</v>
      </c>
      <c r="C18" s="25"/>
      <c r="D18" s="25"/>
      <c r="E18" s="25"/>
      <c r="F18" s="25"/>
      <c r="G18" s="26"/>
      <c r="H18" s="7">
        <v>0</v>
      </c>
    </row>
    <row r="19" spans="2:17" ht="20.100000000000001" customHeight="1" x14ac:dyDescent="0.25">
      <c r="B19" s="34" t="s">
        <v>33</v>
      </c>
      <c r="C19" s="35"/>
      <c r="D19" s="35"/>
      <c r="E19" s="35"/>
      <c r="F19" s="35"/>
      <c r="G19" s="36"/>
      <c r="H19" s="7">
        <f>20488.3232916205*'[1]RIEPILOGO GENERALE'!I$11/'[1]RIEPILOGO GENERALE'!H$11</f>
        <v>24779.63201683982</v>
      </c>
    </row>
    <row r="20" spans="2:17" ht="20.100000000000001" customHeight="1" x14ac:dyDescent="0.25">
      <c r="B20" s="37" t="s">
        <v>7</v>
      </c>
      <c r="C20" s="38"/>
      <c r="D20" s="38"/>
      <c r="E20" s="38"/>
      <c r="F20" s="38"/>
      <c r="G20" s="39"/>
      <c r="H20" s="8">
        <f>SUM(H15:H19)</f>
        <v>189977.17879577202</v>
      </c>
    </row>
    <row r="23" spans="2:17" ht="30" customHeight="1" x14ac:dyDescent="0.25">
      <c r="B23" s="28" t="s">
        <v>1</v>
      </c>
      <c r="C23" s="29"/>
      <c r="D23" s="29"/>
      <c r="E23" s="29"/>
      <c r="F23" s="29"/>
      <c r="G23" s="30"/>
      <c r="H23" s="6" t="s">
        <v>9</v>
      </c>
      <c r="I23" s="11" t="s">
        <v>10</v>
      </c>
      <c r="J23" s="6" t="s">
        <v>11</v>
      </c>
      <c r="K23" s="11" t="s">
        <v>12</v>
      </c>
      <c r="L23" s="6" t="s">
        <v>13</v>
      </c>
      <c r="M23" s="12" t="s">
        <v>14</v>
      </c>
      <c r="N23" s="12" t="s">
        <v>15</v>
      </c>
      <c r="O23" s="12" t="s">
        <v>16</v>
      </c>
      <c r="P23" s="12" t="s">
        <v>17</v>
      </c>
      <c r="Q23" s="6" t="s">
        <v>7</v>
      </c>
    </row>
    <row r="24" spans="2:17" ht="20.100000000000001" customHeight="1" x14ac:dyDescent="0.25">
      <c r="B24" s="31" t="s">
        <v>3</v>
      </c>
      <c r="C24" s="32"/>
      <c r="D24" s="32"/>
      <c r="E24" s="32"/>
      <c r="F24" s="32"/>
      <c r="G24" s="33"/>
      <c r="H24" s="13">
        <f>12184.9943621973*'[1]RIEPILOGO GENERALE'!I11/'[1]RIEPILOGO GENERALE'!H11</f>
        <v>14737.158923395498</v>
      </c>
      <c r="I24" s="14">
        <f>30819.3647810613*'[1]RIEPILOGO GENERALE'!I11/'[1]RIEPILOGO GENERALE'!H11</f>
        <v>37274.524976858112</v>
      </c>
      <c r="J24" s="13">
        <f>1555.70011783209*'[1]RIEPILOGO GENERALE'!I11/'[1]RIEPILOGO GENERALE'!H11</f>
        <v>1881.5437407803852</v>
      </c>
      <c r="K24" s="14">
        <f>197299.960010593*'[1]RIEPILOGO GENERALE'!I11/'[1]RIEPILOGO GENERALE'!H11</f>
        <v>238624.7198666209</v>
      </c>
      <c r="L24" s="13">
        <f>37341.7323346278*'[1]RIEPILOGO GENERALE'!I11/'[1]RIEPILOGO GENERALE'!H11</f>
        <v>45163.011777632833</v>
      </c>
      <c r="M24" s="13">
        <f>8466.14831624645*'[1]RIEPILOGO GENERALE'!I11/'[1]RIEPILOGO GENERALE'!H11</f>
        <v>10239.395234571297</v>
      </c>
      <c r="N24" s="13">
        <f>1360.8185799733*'[1]RIEPILOGO GENERALE'!I11/'[1]RIEPILOGO GENERALE'!H11</f>
        <v>1645.8439850570021</v>
      </c>
      <c r="O24" s="13">
        <f>1504.05126156019*'[1]RIEPILOGO GENERALE'!I11/'[1]RIEPILOGO GENERALE'!H11</f>
        <v>1819.0769574183828</v>
      </c>
      <c r="P24" s="13">
        <f>3607.19548714388*'[1]RIEPILOGO GENERALE'!I11/'[1]RIEPILOGO GENERALE'!H11</f>
        <v>4362.7277601963688</v>
      </c>
      <c r="Q24" s="7">
        <f>SUM(H24:P24)</f>
        <v>355748.00322253082</v>
      </c>
    </row>
    <row r="25" spans="2:17" ht="20.100000000000001" customHeight="1" x14ac:dyDescent="0.25">
      <c r="B25" s="24" t="s">
        <v>4</v>
      </c>
      <c r="C25" s="25"/>
      <c r="D25" s="25"/>
      <c r="E25" s="25"/>
      <c r="F25" s="25"/>
      <c r="G25" s="26"/>
      <c r="H25" s="7">
        <f>1347.78*'[1]RIEPILOGO GENERALE'!I11/'[1]RIEPILOGO GENERALE'!H11</f>
        <v>1630.0744557909031</v>
      </c>
      <c r="I25" s="14">
        <f>12817.45*'[1]RIEPILOGO GENERALE'!I11/'[1]RIEPILOGO GENERALE'!H11</f>
        <v>15502.083302450779</v>
      </c>
      <c r="J25" s="7">
        <f>1968.96*'[1]RIEPILOGO GENERALE'!I11/'[1]RIEPILOGO GENERALE'!H11</f>
        <v>2381.3614985190879</v>
      </c>
      <c r="K25" s="14">
        <f>85526.47*'[1]RIEPILOGO GENERALE'!I11/'[1]RIEPILOGO GENERALE'!H11</f>
        <v>103440.11191809271</v>
      </c>
      <c r="L25" s="7">
        <f>24255.96*'[1]RIEPILOGO GENERALE'!I11/'[1]RIEPILOGO GENERALE'!H11</f>
        <v>29336.405642379254</v>
      </c>
      <c r="M25" s="7">
        <v>0</v>
      </c>
      <c r="N25" s="7">
        <f>6560.73*'[1]RIEPILOGO GENERALE'!I11/'[1]RIEPILOGO GENERALE'!H11</f>
        <v>7934.8843166845118</v>
      </c>
      <c r="O25" s="7">
        <v>0</v>
      </c>
      <c r="P25" s="15">
        <v>0</v>
      </c>
      <c r="Q25" s="7">
        <f>SUM(H25:P25)</f>
        <v>160224.92113391723</v>
      </c>
    </row>
    <row r="26" spans="2:17" ht="20.100000000000001" customHeight="1" x14ac:dyDescent="0.25">
      <c r="B26" s="24" t="s">
        <v>5</v>
      </c>
      <c r="C26" s="25"/>
      <c r="D26" s="25"/>
      <c r="E26" s="25"/>
      <c r="F26" s="25"/>
      <c r="G26" s="26"/>
      <c r="H26" s="7">
        <f>1310.5015576324*'[1]RIEPILOGO GENERALE'!I11/'[1]RIEPILOGO GENERALE'!H11</f>
        <v>1584.987990154747</v>
      </c>
      <c r="I26" s="7">
        <f>2621.0031152648*'[1]RIEPILOGO GENERALE'!I11/'[1]RIEPILOGO GENERALE'!H11</f>
        <v>3169.9759803094939</v>
      </c>
      <c r="J26" s="7">
        <f>163.81269470405*'[1]RIEPILOGO GENERALE'!I11/'[1]RIEPILOGO GENERALE'!H11</f>
        <v>198.12349876934337</v>
      </c>
      <c r="K26" s="7">
        <f>13924.0790498442*'[1]RIEPILOGO GENERALE'!I11/'[1]RIEPILOGO GENERALE'!H11</f>
        <v>16840.49739539413</v>
      </c>
      <c r="L26" s="7">
        <f>1310.5015576324*'[1]RIEPILOGO GENERALE'!I11/'[1]RIEPILOGO GENERALE'!H11</f>
        <v>1584.987990154747</v>
      </c>
      <c r="M26" s="7">
        <f>1310.5015576324*'[1]RIEPILOGO GENERALE'!I11/'[1]RIEPILOGO GENERALE'!H11</f>
        <v>1584.987990154747</v>
      </c>
      <c r="N26" s="7">
        <f>982.876168224299*'[1]RIEPILOGO GENERALE'!I11/'[1]RIEPILOGO GENERALE'!H11</f>
        <v>1188.7409926160592</v>
      </c>
      <c r="O26" s="7">
        <f>458.67554517134*'[1]RIEPILOGO GENERALE'!I11/'[1]RIEPILOGO GENERALE'!H11</f>
        <v>554.74579655416153</v>
      </c>
      <c r="P26" s="7">
        <f>1310.5015576324*'[1]RIEPILOGO GENERALE'!I11/'[1]RIEPILOGO GENERALE'!H11</f>
        <v>1584.987990154747</v>
      </c>
      <c r="Q26" s="7">
        <f>SUM(H26:P26)</f>
        <v>28292.035624262175</v>
      </c>
    </row>
    <row r="27" spans="2:17" ht="20.100000000000001" customHeight="1" x14ac:dyDescent="0.25">
      <c r="B27" s="24" t="s">
        <v>6</v>
      </c>
      <c r="C27" s="25"/>
      <c r="D27" s="25"/>
      <c r="E27" s="25"/>
      <c r="F27" s="25"/>
      <c r="G27" s="26"/>
      <c r="H27" s="7">
        <f>2501.08856190476*'[1]RIEPILOGO GENERALE'!I11/'[1]RIEPILOGO GENERALE'!H11</f>
        <v>3024.9451516061627</v>
      </c>
      <c r="I27" s="14">
        <f>122.443333333333*'[1]RIEPILOGO GENERALE'!I11/'[1]RIEPILOGO GENERALE'!H11</f>
        <v>148.08926527219347</v>
      </c>
      <c r="J27" s="7">
        <f>122.443333333333*'[1]RIEPILOGO GENERALE'!I11/'[1]RIEPILOGO GENERALE'!H11</f>
        <v>148.08926527219347</v>
      </c>
      <c r="K27" s="14">
        <f>6802.79*'[1]RIEPILOGO GENERALE'!I11/'[1]RIEPILOGO GENERALE'!H11</f>
        <v>8227.6441311711096</v>
      </c>
      <c r="L27" s="7">
        <f>13327.66*'[1]RIEPILOGO GENERALE'!I11/'[1]RIEPILOGO GENERALE'!H11</f>
        <v>16119.157519377188</v>
      </c>
      <c r="M27" s="7">
        <v>0</v>
      </c>
      <c r="N27" s="7">
        <v>0</v>
      </c>
      <c r="O27" s="7">
        <v>0</v>
      </c>
      <c r="P27" s="15">
        <v>0</v>
      </c>
      <c r="Q27" s="7">
        <f>SUM(H27:P27)</f>
        <v>27667.925332698847</v>
      </c>
    </row>
    <row r="28" spans="2:17" ht="20.100000000000001" customHeight="1" x14ac:dyDescent="0.25">
      <c r="B28" s="34" t="s">
        <v>33</v>
      </c>
      <c r="C28" s="35"/>
      <c r="D28" s="35"/>
      <c r="E28" s="35"/>
      <c r="F28" s="35"/>
      <c r="G28" s="36"/>
      <c r="H28" s="16">
        <f>2601.65467226017*'[1]RIEPILOGO GENERALE'!I11/'[1]RIEPILOGO GENERALE'!H11</f>
        <v>3146.5749781420982</v>
      </c>
      <c r="I28" s="17">
        <f>6957.03918444891*'[1]RIEPILOGO GENERALE'!I11/'[1]RIEPILOGO GENERALE'!H11</f>
        <v>8414.2010287335816</v>
      </c>
      <c r="J28" s="17">
        <f>571.637421880421*'[1]RIEPILOGO GENERALE'!I11/'[1]RIEPILOGO GENERALE'!H11</f>
        <v>691.3677005011516</v>
      </c>
      <c r="K28" s="17">
        <f>45532.9948590656*'[1]RIEPILOGO GENERALE'!I11/'[1]RIEPILOGO GENERALE'!H11</f>
        <v>55069.945996691858</v>
      </c>
      <c r="L28" s="17">
        <f>11435.378083839*'[1]RIEPILOGO GENERALE'!I11/'[1]RIEPILOGO GENERALE'!H11</f>
        <v>13830.534439431565</v>
      </c>
      <c r="M28" s="16">
        <f>1466.49748108183*'[1]RIEPILOGO GENERALE'!I11/'[1]RIEPILOGO GENERALE'!H11</f>
        <v>1773.6574837089097</v>
      </c>
      <c r="N28" s="16">
        <f>1335.66371222964*'[1]RIEPILOGO GENERALE'!I11/'[1]RIEPILOGO GENERALE'!H11</f>
        <v>1615.4203941536362</v>
      </c>
      <c r="O28" s="16">
        <f>294.409021009729*'[1]RIEPILOGO GENERALE'!I11/'[1]RIEPILOGO GENERALE'!H11</f>
        <v>356.07341309588105</v>
      </c>
      <c r="P28" s="17">
        <f>737.654556716442*'[1]RIEPILOGO GENERALE'!I11/'[1]RIEPILOGO GENERALE'!H11</f>
        <v>892.15736255266734</v>
      </c>
      <c r="Q28" s="7">
        <f>SUM(H28:P28)</f>
        <v>85789.932797011366</v>
      </c>
    </row>
    <row r="29" spans="2:17" ht="20.100000000000001" customHeight="1" x14ac:dyDescent="0.25">
      <c r="B29" s="37" t="s">
        <v>7</v>
      </c>
      <c r="C29" s="38"/>
      <c r="D29" s="38"/>
      <c r="E29" s="38"/>
      <c r="F29" s="38"/>
      <c r="G29" s="39"/>
      <c r="H29" s="8">
        <f t="shared" ref="H29:Q29" si="0">SUM(H24:H28)</f>
        <v>24123.74149908941</v>
      </c>
      <c r="I29" s="18">
        <f t="shared" si="0"/>
        <v>64508.874553624162</v>
      </c>
      <c r="J29" s="19">
        <f t="shared" si="0"/>
        <v>5300.4857038421605</v>
      </c>
      <c r="K29" s="19">
        <f t="shared" si="0"/>
        <v>422202.91930797073</v>
      </c>
      <c r="L29" s="19">
        <f t="shared" si="0"/>
        <v>106034.09736897559</v>
      </c>
      <c r="M29" s="8">
        <f t="shared" si="0"/>
        <v>13598.040708434954</v>
      </c>
      <c r="N29" s="8">
        <f t="shared" si="0"/>
        <v>12384.88968851121</v>
      </c>
      <c r="O29" s="8">
        <f t="shared" si="0"/>
        <v>2729.8961670684257</v>
      </c>
      <c r="P29" s="19">
        <f t="shared" si="0"/>
        <v>6839.8731129037824</v>
      </c>
      <c r="Q29" s="8">
        <f t="shared" si="0"/>
        <v>657722.81811042037</v>
      </c>
    </row>
    <row r="32" spans="2:17" ht="30" customHeight="1" x14ac:dyDescent="0.25">
      <c r="B32" s="28" t="s">
        <v>1</v>
      </c>
      <c r="C32" s="29"/>
      <c r="D32" s="29"/>
      <c r="E32" s="29"/>
      <c r="F32" s="29"/>
      <c r="G32" s="30"/>
      <c r="H32" s="12" t="s">
        <v>18</v>
      </c>
      <c r="I32" s="20" t="s">
        <v>19</v>
      </c>
      <c r="J32" s="12" t="s">
        <v>20</v>
      </c>
      <c r="K32" s="6" t="s">
        <v>7</v>
      </c>
    </row>
    <row r="33" spans="2:22" ht="20.100000000000001" customHeight="1" x14ac:dyDescent="0.25">
      <c r="B33" s="31" t="s">
        <v>3</v>
      </c>
      <c r="C33" s="32"/>
      <c r="D33" s="32"/>
      <c r="E33" s="32"/>
      <c r="F33" s="32"/>
      <c r="G33" s="33"/>
      <c r="H33" s="13">
        <f>48014.6717941578*'[1]RIEPILOGO GENERALE'!I11/'[1]RIEPILOGO GENERALE'!H11</f>
        <v>58071.413728383413</v>
      </c>
      <c r="I33" s="21">
        <f>21834.2968567806*'[1]RIEPILOGO GENERALE'!I11/'[1]RIEPILOGO GENERALE'!H11</f>
        <v>26407.521677420391</v>
      </c>
      <c r="J33" s="13">
        <f>8363.32932109865*'[1]RIEPILOGO GENERALE'!I11/'[1]RIEPILOGO GENERALE'!H11</f>
        <v>10115.040653289101</v>
      </c>
      <c r="K33" s="13">
        <f>SUM(H33:J33)</f>
        <v>94593.976059092907</v>
      </c>
    </row>
    <row r="34" spans="2:22" ht="20.100000000000001" customHeight="1" x14ac:dyDescent="0.25">
      <c r="B34" s="24" t="s">
        <v>4</v>
      </c>
      <c r="C34" s="25"/>
      <c r="D34" s="25"/>
      <c r="E34" s="25"/>
      <c r="F34" s="25"/>
      <c r="G34" s="26"/>
      <c r="H34" s="7">
        <f>55168.2*'[1]RIEPILOGO GENERALE'!I11/'[1]RIEPILOGO GENERALE'!H11</f>
        <v>66723.258686108791</v>
      </c>
      <c r="I34" s="14">
        <f>39389.39*'[1]RIEPILOGO GENERALE'!I11/'[1]RIEPILOGO GENERALE'!H11</f>
        <v>47639.554280509903</v>
      </c>
      <c r="J34" s="7">
        <f>6895.84*'[1]RIEPILOGO GENERALE'!I11/'[1]RIEPILOGO GENERALE'!H11</f>
        <v>8340.1835872480242</v>
      </c>
      <c r="K34" s="7">
        <f>SUM(H34:J34)</f>
        <v>122702.99655386672</v>
      </c>
    </row>
    <row r="35" spans="2:22" ht="20.100000000000001" customHeight="1" x14ac:dyDescent="0.25">
      <c r="B35" s="24" t="s">
        <v>5</v>
      </c>
      <c r="C35" s="25"/>
      <c r="D35" s="25"/>
      <c r="E35" s="25"/>
      <c r="F35" s="25"/>
      <c r="G35" s="26"/>
      <c r="H35" s="7">
        <f>2293.3777258567*'[1]RIEPILOGO GENERALE'!I11/'[1]RIEPILOGO GENERALE'!H11</f>
        <v>2773.7289827708078</v>
      </c>
      <c r="I35" s="22">
        <f>1310.5015576324*'[1]RIEPILOGO GENERALE'!I11/'[1]RIEPILOGO GENERALE'!H11</f>
        <v>1584.987990154747</v>
      </c>
      <c r="J35" s="7">
        <f>655.250778816199*'[1]RIEPILOGO GENERALE'!I11/'[1]RIEPILOGO GENERALE'!H11</f>
        <v>792.49399507737246</v>
      </c>
      <c r="K35" s="7">
        <f>SUM(H35:J35)</f>
        <v>5151.2109680029271</v>
      </c>
    </row>
    <row r="36" spans="2:22" ht="20.100000000000001" customHeight="1" x14ac:dyDescent="0.25">
      <c r="B36" s="24" t="s">
        <v>6</v>
      </c>
      <c r="C36" s="25"/>
      <c r="D36" s="25"/>
      <c r="E36" s="25"/>
      <c r="F36" s="25"/>
      <c r="G36" s="26"/>
      <c r="H36" s="7">
        <v>0</v>
      </c>
      <c r="I36" s="14">
        <v>0</v>
      </c>
      <c r="J36" s="15">
        <v>0</v>
      </c>
      <c r="K36" s="7">
        <f>SUM(H36:J36)</f>
        <v>0</v>
      </c>
    </row>
    <row r="37" spans="2:22" ht="20.100000000000001" customHeight="1" x14ac:dyDescent="0.25">
      <c r="B37" s="34" t="s">
        <v>32</v>
      </c>
      <c r="C37" s="35"/>
      <c r="D37" s="35"/>
      <c r="E37" s="35"/>
      <c r="F37" s="35"/>
      <c r="G37" s="36"/>
      <c r="H37" s="16">
        <f>15821.4374280022*'[1]RIEPILOGO GENERALE'!I11/'[1]RIEPILOGO GENERALE'!H11</f>
        <v>19135.26020958948</v>
      </c>
      <c r="I37" s="17">
        <f>9380.12826216196*'[1]RIEPILOGO GENERALE'!I11/'[1]RIEPILOGO GENERALE'!H11</f>
        <v>11344.809592212769</v>
      </c>
      <c r="J37" s="17">
        <f>2387.16301498723*'[1]RIEPILOGO GENERALE'!I11/'[1]RIEPILOGO GENERALE'!H11</f>
        <v>2887.1577353421776</v>
      </c>
      <c r="K37" s="16">
        <f>SUM(H37:J37)</f>
        <v>33367.227537144427</v>
      </c>
    </row>
    <row r="38" spans="2:22" ht="20.100000000000001" customHeight="1" x14ac:dyDescent="0.25">
      <c r="B38" s="37" t="s">
        <v>7</v>
      </c>
      <c r="C38" s="38"/>
      <c r="D38" s="38"/>
      <c r="E38" s="38"/>
      <c r="F38" s="38"/>
      <c r="G38" s="39"/>
      <c r="H38" s="8">
        <f>SUM(H33:H37)</f>
        <v>146703.66160685249</v>
      </c>
      <c r="I38" s="18">
        <f>SUM(I33:I37)</f>
        <v>86976.87354029782</v>
      </c>
      <c r="J38" s="19">
        <f>SUM(J33:J37)</f>
        <v>22134.875970956677</v>
      </c>
      <c r="K38" s="8">
        <f>SUM(K33:K37)</f>
        <v>255815.41111810697</v>
      </c>
    </row>
    <row r="41" spans="2:22" ht="30" customHeight="1" x14ac:dyDescent="0.25">
      <c r="B41" s="28" t="s">
        <v>1</v>
      </c>
      <c r="C41" s="29"/>
      <c r="D41" s="29"/>
      <c r="E41" s="29"/>
      <c r="F41" s="29"/>
      <c r="G41" s="30"/>
      <c r="H41" s="12" t="s">
        <v>21</v>
      </c>
      <c r="I41" s="2"/>
      <c r="R41" s="2"/>
    </row>
    <row r="42" spans="2:22" ht="20.100000000000001" customHeight="1" x14ac:dyDescent="0.25">
      <c r="B42" s="31" t="s">
        <v>3</v>
      </c>
      <c r="C42" s="32"/>
      <c r="D42" s="32"/>
      <c r="E42" s="32"/>
      <c r="F42" s="32"/>
      <c r="G42" s="33"/>
      <c r="H42" s="13">
        <f>16425.8252293109*'[1]RIEPILOGO GENERALE'!I11/'[1]RIEPILOGO GENERALE'!H11</f>
        <v>19866.237903504614</v>
      </c>
      <c r="I42" s="4"/>
      <c r="R42" s="4"/>
    </row>
    <row r="43" spans="2:22" ht="20.100000000000001" customHeight="1" x14ac:dyDescent="0.25">
      <c r="B43" s="24" t="s">
        <v>4</v>
      </c>
      <c r="C43" s="25"/>
      <c r="D43" s="25"/>
      <c r="E43" s="25"/>
      <c r="F43" s="25"/>
      <c r="G43" s="26"/>
      <c r="H43" s="7">
        <v>0</v>
      </c>
      <c r="I43" s="4"/>
      <c r="R43" s="4"/>
    </row>
    <row r="44" spans="2:22" ht="20.100000000000001" customHeight="1" x14ac:dyDescent="0.25">
      <c r="B44" s="24" t="s">
        <v>5</v>
      </c>
      <c r="C44" s="25"/>
      <c r="D44" s="25"/>
      <c r="E44" s="25"/>
      <c r="F44" s="25"/>
      <c r="G44" s="26"/>
      <c r="H44" s="7">
        <f>2948.6285046729*'[1]RIEPILOGO GENERALE'!I11/'[1]RIEPILOGO GENERALE'!H11</f>
        <v>3566.222977848181</v>
      </c>
      <c r="I44" s="4"/>
      <c r="R44" s="4"/>
    </row>
    <row r="45" spans="2:22" ht="20.100000000000001" customHeight="1" x14ac:dyDescent="0.25">
      <c r="B45" s="24" t="s">
        <v>6</v>
      </c>
      <c r="C45" s="25"/>
      <c r="D45" s="25"/>
      <c r="E45" s="25"/>
      <c r="F45" s="25"/>
      <c r="G45" s="26"/>
      <c r="H45" s="7">
        <v>0</v>
      </c>
      <c r="I45" s="4"/>
      <c r="R45" s="4"/>
    </row>
    <row r="46" spans="2:22" ht="20.100000000000001" customHeight="1" x14ac:dyDescent="0.25">
      <c r="B46" s="34" t="s">
        <v>32</v>
      </c>
      <c r="C46" s="35"/>
      <c r="D46" s="35"/>
      <c r="E46" s="35"/>
      <c r="F46" s="35"/>
      <c r="G46" s="36"/>
      <c r="H46" s="16">
        <f>2906.16806009757*'[1]RIEPILOGO GENERALE'!I11/'[1]RIEPILOGO GENERALE'!H11</f>
        <v>3514.8691322029199</v>
      </c>
      <c r="I46" s="4"/>
      <c r="R46" s="4"/>
    </row>
    <row r="47" spans="2:22" ht="20.100000000000001" customHeight="1" x14ac:dyDescent="0.25">
      <c r="B47" s="37" t="s">
        <v>7</v>
      </c>
      <c r="C47" s="38"/>
      <c r="D47" s="38"/>
      <c r="E47" s="38"/>
      <c r="F47" s="38"/>
      <c r="G47" s="39"/>
      <c r="H47" s="8">
        <f>SUM(H42:H46)</f>
        <v>26947.330013555715</v>
      </c>
      <c r="I47" s="9"/>
      <c r="R47" s="9"/>
    </row>
    <row r="48" spans="2:22" ht="20.100000000000001" customHeight="1" x14ac:dyDescent="0.25">
      <c r="H48" s="10"/>
      <c r="I48" s="4"/>
      <c r="R48" s="4"/>
      <c r="S48" s="4"/>
      <c r="T48" s="4"/>
      <c r="U48" s="4"/>
      <c r="V48" s="10"/>
    </row>
    <row r="49" spans="2:22" ht="20.100000000000001" customHeight="1" x14ac:dyDescent="0.25">
      <c r="K49"/>
      <c r="R49" s="3"/>
      <c r="V49"/>
    </row>
    <row r="50" spans="2:22" ht="30" customHeight="1" x14ac:dyDescent="0.25">
      <c r="B50" s="28" t="s">
        <v>1</v>
      </c>
      <c r="C50" s="29"/>
      <c r="D50" s="29"/>
      <c r="E50" s="29"/>
      <c r="F50" s="29"/>
      <c r="G50" s="30"/>
      <c r="H50" s="12" t="s">
        <v>22</v>
      </c>
      <c r="I50" s="20" t="s">
        <v>23</v>
      </c>
      <c r="J50" s="12" t="s">
        <v>24</v>
      </c>
      <c r="K50" s="20" t="s">
        <v>25</v>
      </c>
      <c r="L50" s="12" t="s">
        <v>26</v>
      </c>
      <c r="M50" s="20" t="s">
        <v>27</v>
      </c>
      <c r="N50" s="12" t="s">
        <v>28</v>
      </c>
      <c r="O50" s="6" t="s">
        <v>7</v>
      </c>
    </row>
    <row r="51" spans="2:22" ht="20.100000000000001" customHeight="1" x14ac:dyDescent="0.25">
      <c r="B51" s="31" t="s">
        <v>3</v>
      </c>
      <c r="C51" s="32"/>
      <c r="D51" s="32"/>
      <c r="E51" s="32"/>
      <c r="F51" s="32"/>
      <c r="G51" s="33"/>
      <c r="H51" s="13">
        <f>50396.7286836339*'[1]RIEPILOGO GENERALE'!I11/'[1]RIEPILOGO GENERALE'!H11</f>
        <v>60952.395852896108</v>
      </c>
      <c r="I51" s="21">
        <f>740.153464962073*'[1]RIEPILOGO GENERALE'!I11/'[1]RIEPILOGO GENERALE'!H11</f>
        <v>895.17967071762644</v>
      </c>
      <c r="J51" s="13">
        <f>10488.5464838406*'[1]RIEPILOGO GENERALE'!I11/'[1]RIEPILOGO GENERALE'!H11</f>
        <v>12685.38760159971</v>
      </c>
      <c r="K51" s="21">
        <f>7638.29365235891*'[1]RIEPILOGO GENERALE'!I11/'[1]RIEPILOGO GENERALE'!H11</f>
        <v>9238.1452229147635</v>
      </c>
      <c r="L51" s="13">
        <f>6761.51543661525*'[1]RIEPILOGO GENERALE'!I11/'[1]RIEPILOGO GENERALE'!H11</f>
        <v>8177.7245512341724</v>
      </c>
      <c r="M51" s="21">
        <f>1141.03517453522*'[1]RIEPILOGO GENERALE'!I11/'[1]RIEPILOGO GENERALE'!H11</f>
        <v>1380.0266298422418</v>
      </c>
      <c r="N51" s="13">
        <f>5985.11163506175*'[1]RIEPILOGO GENERALE'!I11/'[1]RIEPILOGO GENERALE'!H11</f>
        <v>7238.7018588872697</v>
      </c>
      <c r="O51" s="7">
        <f>SUM(H51:N51)</f>
        <v>100567.5613880919</v>
      </c>
    </row>
    <row r="52" spans="2:22" ht="20.100000000000001" customHeight="1" x14ac:dyDescent="0.25">
      <c r="B52" s="24" t="s">
        <v>4</v>
      </c>
      <c r="C52" s="25"/>
      <c r="D52" s="25"/>
      <c r="E52" s="25"/>
      <c r="F52" s="25"/>
      <c r="G52" s="26"/>
      <c r="H52" s="7">
        <f>16566.1*'[1]RIEPILOGO GENERALE'!I11/'[1]RIEPILOGO GENERALE'!H11</f>
        <v>20035.893426284463</v>
      </c>
      <c r="I52" s="14">
        <v>0</v>
      </c>
      <c r="J52" s="7">
        <f>2359.9*'[1]RIEPILOGO GENERALE'!I11/'[1]RIEPILOGO GENERALE'!H11</f>
        <v>2854.1844427287483</v>
      </c>
      <c r="K52" s="22">
        <v>0</v>
      </c>
      <c r="L52" s="22">
        <v>0</v>
      </c>
      <c r="M52" s="7">
        <f>965.33*'[1]RIEPILOGO GENERALE'!I11/'[1]RIEPILOGO GENERALE'!H11</f>
        <v>1167.51975426897</v>
      </c>
      <c r="N52" s="22">
        <v>0</v>
      </c>
      <c r="O52" s="7">
        <f>SUM(H52:N52)</f>
        <v>24057.597623282181</v>
      </c>
    </row>
    <row r="53" spans="2:22" ht="20.100000000000001" customHeight="1" x14ac:dyDescent="0.25">
      <c r="B53" s="24" t="s">
        <v>5</v>
      </c>
      <c r="C53" s="25"/>
      <c r="D53" s="25"/>
      <c r="E53" s="25"/>
      <c r="F53" s="25"/>
      <c r="G53" s="26"/>
      <c r="H53" s="7">
        <f>2447.3616588785*'[1]RIEPILOGO GENERALE'!I11/'[1]RIEPILOGO GENERALE'!H11</f>
        <v>2959.9650716139818</v>
      </c>
      <c r="I53" s="7">
        <f>32.76253894081*'[1]RIEPILOGO GENERALE'!I11/'[1]RIEPILOGO GENERALE'!H11</f>
        <v>39.624699753868683</v>
      </c>
      <c r="J53" s="7">
        <f>743.709633956386*'[1]RIEPILOGO GENERALE'!I11/'[1]RIEPILOGO GENERALE'!H11</f>
        <v>899.48068441281782</v>
      </c>
      <c r="K53" s="7">
        <f>720.775856697819*'[1]RIEPILOGO GENERALE'!I11/'[1]RIEPILOGO GENERALE'!H11</f>
        <v>871.74339458510963</v>
      </c>
      <c r="L53" s="7">
        <f>543.858146417445*'[1]RIEPILOGO GENERALE'!I11/'[1]RIEPILOGO GENERALE'!H11</f>
        <v>657.7700159142189</v>
      </c>
      <c r="M53" s="7">
        <f>150.707679127726*'[1]RIEPILOGO GENERALE'!I11/'[1]RIEPILOGO GENERALE'!H11</f>
        <v>182.27361886779593</v>
      </c>
      <c r="N53" s="7">
        <f>458.67554517134*'[1]RIEPILOGO GENERALE'!I11/'[1]RIEPILOGO GENERALE'!H11</f>
        <v>554.74579655416153</v>
      </c>
      <c r="O53" s="7">
        <f>SUM(H53:N53)</f>
        <v>6165.603281701955</v>
      </c>
    </row>
    <row r="54" spans="2:22" ht="20.100000000000001" customHeight="1" x14ac:dyDescent="0.25">
      <c r="B54" s="24" t="s">
        <v>6</v>
      </c>
      <c r="C54" s="25"/>
      <c r="D54" s="25"/>
      <c r="E54" s="25"/>
      <c r="F54" s="25"/>
      <c r="G54" s="26"/>
      <c r="H54" s="7">
        <f>191.5*'[1]RIEPILOGO GENERALE'!I11/'[1]RIEPILOGO GENERALE'!H11</f>
        <v>231.60994990573977</v>
      </c>
      <c r="I54" s="14">
        <f>88*'[1]RIEPILOGO GENERALE'!I11/'[1]RIEPILOGO GENERALE'!H11</f>
        <v>106.43172632744177</v>
      </c>
      <c r="J54" s="7">
        <v>0</v>
      </c>
      <c r="K54" s="14">
        <f>42*'[1]RIEPILOGO GENERALE'!I11/'[1]RIEPILOGO GENERALE'!H11</f>
        <v>50.796960292642666</v>
      </c>
      <c r="L54" s="7">
        <v>0</v>
      </c>
      <c r="M54" s="14">
        <f>280*'[1]RIEPILOGO GENERALE'!I11/'[1]RIEPILOGO GENERALE'!H11</f>
        <v>338.64640195095109</v>
      </c>
      <c r="N54" s="7">
        <f>1261.25*'[1]RIEPILOGO GENERALE'!I11/'[1]RIEPILOGO GENERALE'!H11</f>
        <v>1525.4206230737038</v>
      </c>
      <c r="O54" s="7">
        <f>SUM(H54:N54)</f>
        <v>2252.9056615504792</v>
      </c>
    </row>
    <row r="55" spans="2:22" ht="20.100000000000001" customHeight="1" x14ac:dyDescent="0.25">
      <c r="B55" s="34" t="s">
        <v>32</v>
      </c>
      <c r="C55" s="35"/>
      <c r="D55" s="35"/>
      <c r="E55" s="35"/>
      <c r="F55" s="35"/>
      <c r="G55" s="36"/>
      <c r="H55" s="16">
        <f>10440.2535513769*'[1]RIEPILOGO GENERALE'!I11/'[1]RIEPILOGO GENERALE'!H11</f>
        <v>12626.979645105092</v>
      </c>
      <c r="I55" s="17">
        <f>129.137400585432*'[1]RIEPILOGO GENERALE'!I11/'[1]RIEPILOGO GENERALE'!H11</f>
        <v>156.18541451983998</v>
      </c>
      <c r="J55" s="17">
        <f>2038.82341766955*'[1]RIEPILOGO GENERALE'!I11/'[1]RIEPILOGO GENERALE'!H11</f>
        <v>2465.8579093111939</v>
      </c>
      <c r="K55" s="17">
        <f>1260.16042635851*'[1]RIEPILOGO GENERALE'!I11/'[1]RIEPILOGO GENERALE'!H11</f>
        <v>1524.1028366688779</v>
      </c>
      <c r="L55" s="17">
        <f>1095.8060374549*'[1]RIEPILOGO GENERALE'!I11/'[1]RIEPILOGO GENERALE'!H11</f>
        <v>1325.3241850722536</v>
      </c>
      <c r="M55" s="17">
        <f>380.560928049442*'[1]RIEPILOGO GENERALE'!I11/'[1]RIEPILOGO GENERALE'!H11</f>
        <v>460.26996073949397</v>
      </c>
      <c r="N55" s="17">
        <f>1155.75557703496*'[1]RIEPILOGO GENERALE'!I11/'[1]RIEPILOGO GENERALE'!H11</f>
        <v>1397.8302417772659</v>
      </c>
      <c r="O55" s="7">
        <f>SUM(H55:N55)</f>
        <v>19956.550193194016</v>
      </c>
    </row>
    <row r="56" spans="2:22" ht="20.100000000000001" customHeight="1" x14ac:dyDescent="0.25">
      <c r="B56" s="37" t="s">
        <v>7</v>
      </c>
      <c r="C56" s="38"/>
      <c r="D56" s="38"/>
      <c r="E56" s="38"/>
      <c r="F56" s="38"/>
      <c r="G56" s="39"/>
      <c r="H56" s="8">
        <f t="shared" ref="H56:O56" si="1">SUM(H51:H55)</f>
        <v>96806.843945805405</v>
      </c>
      <c r="I56" s="19">
        <f t="shared" si="1"/>
        <v>1197.4215113187768</v>
      </c>
      <c r="J56" s="19">
        <f t="shared" si="1"/>
        <v>18904.910638052472</v>
      </c>
      <c r="K56" s="19">
        <f t="shared" si="1"/>
        <v>11684.788414461393</v>
      </c>
      <c r="L56" s="19">
        <f t="shared" si="1"/>
        <v>10160.818752220644</v>
      </c>
      <c r="M56" s="19">
        <f t="shared" si="1"/>
        <v>3528.7363656694529</v>
      </c>
      <c r="N56" s="8">
        <f t="shared" si="1"/>
        <v>10716.698520292402</v>
      </c>
      <c r="O56" s="8">
        <f t="shared" si="1"/>
        <v>153000.21814782053</v>
      </c>
    </row>
    <row r="57" spans="2:22" ht="20.100000000000001" customHeight="1" x14ac:dyDescent="0.25">
      <c r="H57" s="4"/>
      <c r="I57" s="4"/>
      <c r="J57" s="4"/>
      <c r="K57" s="4"/>
      <c r="L57" s="4"/>
      <c r="M57" s="4"/>
      <c r="N57" s="4"/>
      <c r="O57" s="10"/>
    </row>
    <row r="59" spans="2:22" ht="30" customHeight="1" x14ac:dyDescent="0.25">
      <c r="B59" s="28" t="s">
        <v>1</v>
      </c>
      <c r="C59" s="29"/>
      <c r="D59" s="29"/>
      <c r="E59" s="29"/>
      <c r="F59" s="29"/>
      <c r="G59" s="30"/>
      <c r="H59" s="12" t="s">
        <v>29</v>
      </c>
      <c r="I59" s="12" t="s">
        <v>30</v>
      </c>
      <c r="J59" s="12" t="s">
        <v>31</v>
      </c>
      <c r="K59" s="6" t="s">
        <v>7</v>
      </c>
    </row>
    <row r="60" spans="2:22" ht="20.100000000000001" customHeight="1" x14ac:dyDescent="0.25">
      <c r="B60" s="31" t="s">
        <v>3</v>
      </c>
      <c r="C60" s="32"/>
      <c r="D60" s="32"/>
      <c r="E60" s="32"/>
      <c r="F60" s="32"/>
      <c r="G60" s="33"/>
      <c r="H60" s="13">
        <f>176765.965302039*'[1]RIEPILOGO GENERALE'!I11/'[1]RIEPILOGO GENERALE'!H11</f>
        <v>213789.85048900775</v>
      </c>
      <c r="I60" s="13">
        <f>21285.5481117121*'[1]RIEPILOGO GENERALE'!I11/'[1]RIEPILOGO GENERALE'!H11</f>
        <v>25743.836719947016</v>
      </c>
      <c r="J60" s="23">
        <f>29478.3755854398*'[1]RIEPILOGO GENERALE'!I11/'[1]RIEPILOGO GENERALE'!H11</f>
        <v>35652.663669171248</v>
      </c>
      <c r="K60" s="7">
        <f>SUM(H60:J60)</f>
        <v>275186.35087812599</v>
      </c>
    </row>
    <row r="61" spans="2:22" ht="20.100000000000001" customHeight="1" x14ac:dyDescent="0.25">
      <c r="B61" s="24" t="s">
        <v>4</v>
      </c>
      <c r="C61" s="25"/>
      <c r="D61" s="25"/>
      <c r="E61" s="25"/>
      <c r="F61" s="25"/>
      <c r="G61" s="26"/>
      <c r="H61" s="7">
        <f>34836.675*'[1]RIEPILOGO GENERALE'!I11/'[1]RIEPILOGO GENERALE'!H11</f>
        <v>42133.266588159466</v>
      </c>
      <c r="I61" s="7">
        <f>16873.75*'[1]RIEPILOGO GENERALE'!I11/'[1]RIEPILOGO GENERALE'!H11</f>
        <v>20407.981160428073</v>
      </c>
      <c r="J61" s="22">
        <f>24109.915*'[1]RIEPILOGO GENERALE'!I11/'[1]RIEPILOGO GENERALE'!H11</f>
        <v>29159.771307475945</v>
      </c>
      <c r="K61" s="7">
        <f>SUM(H61:J61)</f>
        <v>91701.019056063495</v>
      </c>
    </row>
    <row r="62" spans="2:22" ht="20.100000000000001" customHeight="1" x14ac:dyDescent="0.25">
      <c r="B62" s="24" t="s">
        <v>5</v>
      </c>
      <c r="C62" s="25"/>
      <c r="D62" s="25"/>
      <c r="E62" s="25"/>
      <c r="F62" s="25"/>
      <c r="G62" s="26"/>
      <c r="H62" s="7">
        <f>11466.8886292835*'[1]RIEPILOGO GENERALE'!I11/'[1]RIEPILOGO GENERALE'!H11</f>
        <v>13868.644913854039</v>
      </c>
      <c r="I62" s="7">
        <f>2457.19042056075*'[1]RIEPILOGO GENERALE'!I11/'[1]RIEPILOGO GENERALE'!H11</f>
        <v>2971.8524815401511</v>
      </c>
      <c r="J62" s="7">
        <f>4259.1300623053*'[1]RIEPILOGO GENERALE'!I11/'[1]RIEPILOGO GENERALE'!H11</f>
        <v>5151.2109680029289</v>
      </c>
      <c r="K62" s="7">
        <f>SUM(H62:J62)</f>
        <v>21991.70836339712</v>
      </c>
    </row>
    <row r="63" spans="2:22" ht="20.100000000000001" customHeight="1" x14ac:dyDescent="0.25">
      <c r="B63" s="24" t="s">
        <v>6</v>
      </c>
      <c r="C63" s="25"/>
      <c r="D63" s="25"/>
      <c r="E63" s="25"/>
      <c r="F63" s="25"/>
      <c r="G63" s="26"/>
      <c r="H63" s="7">
        <f>1365.64*'[1]RIEPILOGO GENERALE'!I11/'[1]RIEPILOGO GENERALE'!H11</f>
        <v>1651.6752584296316</v>
      </c>
      <c r="I63" s="15">
        <f>524.55*'[1]RIEPILOGO GENERALE'!I11/'[1]RIEPILOGO GENERALE'!H11</f>
        <v>634.41775051204058</v>
      </c>
      <c r="J63" s="15">
        <f>1220.17*'[1]RIEPILOGO GENERALE'!I11/'[1]RIEPILOGO GENERALE'!H11</f>
        <v>1475.7363581017573</v>
      </c>
      <c r="K63" s="7">
        <f>SUM(H63:J63)</f>
        <v>3761.8293670434296</v>
      </c>
    </row>
    <row r="64" spans="2:22" ht="20.100000000000001" customHeight="1" x14ac:dyDescent="0.25">
      <c r="B64" s="34" t="s">
        <v>32</v>
      </c>
      <c r="C64" s="35"/>
      <c r="D64" s="35"/>
      <c r="E64" s="35"/>
      <c r="F64" s="35"/>
      <c r="G64" s="36"/>
      <c r="H64" s="16">
        <f>33665.2753396984*'[1]RIEPILOGO GENERALE'!I11/'[1]RIEPILOGO GENERALE'!H11</f>
        <v>40716.515587417656</v>
      </c>
      <c r="I64" s="17">
        <f>6171.15577984093*'[1]RIEPILOGO GENERALE'!I11/'[1]RIEPILOGO GENERALE'!H11</f>
        <v>7463.7132168640946</v>
      </c>
      <c r="J64" s="17">
        <f>8860.13859716177*'[1]RIEPILOGO GENERALE'!I11/'[1]RIEPILOGO GENERALE'!H11</f>
        <v>10715.907345412788</v>
      </c>
      <c r="K64" s="7">
        <f>SUM(H64:J64)</f>
        <v>58896.136149694539</v>
      </c>
    </row>
    <row r="65" spans="2:11" ht="20.100000000000001" customHeight="1" x14ac:dyDescent="0.25">
      <c r="B65" s="37" t="s">
        <v>7</v>
      </c>
      <c r="C65" s="38"/>
      <c r="D65" s="38"/>
      <c r="E65" s="38"/>
      <c r="F65" s="38"/>
      <c r="G65" s="39"/>
      <c r="H65" s="8">
        <f>SUM(H60:H64)</f>
        <v>312159.95283686847</v>
      </c>
      <c r="I65" s="19">
        <f>SUM(I60:I64)</f>
        <v>57221.801329291382</v>
      </c>
      <c r="J65" s="8">
        <f>SUM(J60:J64)</f>
        <v>82155.289648164675</v>
      </c>
      <c r="K65" s="8">
        <f>SUM(K60:K64)</f>
        <v>451537.0438143246</v>
      </c>
    </row>
  </sheetData>
  <mergeCells count="50">
    <mergeCell ref="B64:G64"/>
    <mergeCell ref="B65:G65"/>
    <mergeCell ref="B56:G56"/>
    <mergeCell ref="B59:G59"/>
    <mergeCell ref="B60:G60"/>
    <mergeCell ref="B61:G61"/>
    <mergeCell ref="B62:G62"/>
    <mergeCell ref="B63:G63"/>
    <mergeCell ref="B55:G55"/>
    <mergeCell ref="B42:G42"/>
    <mergeCell ref="B43:G43"/>
    <mergeCell ref="B44:G44"/>
    <mergeCell ref="B45:G45"/>
    <mergeCell ref="B46:G46"/>
    <mergeCell ref="B47:G47"/>
    <mergeCell ref="B50:G50"/>
    <mergeCell ref="B51:G51"/>
    <mergeCell ref="B52:G52"/>
    <mergeCell ref="B53:G53"/>
    <mergeCell ref="B54:G54"/>
    <mergeCell ref="B41:G41"/>
    <mergeCell ref="B26:G26"/>
    <mergeCell ref="B27:G27"/>
    <mergeCell ref="B28:G28"/>
    <mergeCell ref="B29:G29"/>
    <mergeCell ref="B32:G32"/>
    <mergeCell ref="B33:G33"/>
    <mergeCell ref="B34:G34"/>
    <mergeCell ref="B35:G35"/>
    <mergeCell ref="B36:G36"/>
    <mergeCell ref="B37:G37"/>
    <mergeCell ref="B38:G38"/>
    <mergeCell ref="B25:G25"/>
    <mergeCell ref="B10:G10"/>
    <mergeCell ref="B11:G11"/>
    <mergeCell ref="B14:G14"/>
    <mergeCell ref="B15:G15"/>
    <mergeCell ref="B16:G16"/>
    <mergeCell ref="B17:G17"/>
    <mergeCell ref="B18:G18"/>
    <mergeCell ref="B19:G19"/>
    <mergeCell ref="B20:G20"/>
    <mergeCell ref="B23:G23"/>
    <mergeCell ref="B24:G24"/>
    <mergeCell ref="B9:G9"/>
    <mergeCell ref="B2:G2"/>
    <mergeCell ref="B5:G5"/>
    <mergeCell ref="B6:G6"/>
    <mergeCell ref="B7:G7"/>
    <mergeCell ref="B8:G8"/>
  </mergeCells>
  <pageMargins left="0.70866141732283472" right="0.70866141732283472" top="0.74803149606299213" bottom="0.74803149606299213" header="0.31496062992125984" footer="0.31496062992125984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GENERALE 2020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antonio.dellacroce</dc:creator>
  <cp:lastModifiedBy>Stefania D'Aviero</cp:lastModifiedBy>
  <cp:lastPrinted>2020-12-07T10:13:02Z</cp:lastPrinted>
  <dcterms:created xsi:type="dcterms:W3CDTF">2020-12-07T10:11:51Z</dcterms:created>
  <dcterms:modified xsi:type="dcterms:W3CDTF">2021-02-10T16:54:58Z</dcterms:modified>
</cp:coreProperties>
</file>